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D:\Dev\Kalinode\Kraafty\Kraafty\landing\public\downloads\"/>
    </mc:Choice>
  </mc:AlternateContent>
  <xr:revisionPtr revIDLastSave="0" documentId="13_ncr:1_{AC84BD89-DB87-4DA1-8CE6-E9C95A94F3B0}" xr6:coauthVersionLast="47" xr6:coauthVersionMax="47" xr10:uidLastSave="{00000000-0000-0000-0000-000000000000}"/>
  <bookViews>
    <workbookView xWindow="-110" yWindow="-110" windowWidth="38620" windowHeight="21100" tabRatio="500" xr2:uid="{00000000-000D-0000-FFFF-FFFF00000000}"/>
  </bookViews>
  <sheets>
    <sheet name="CRA" sheetId="1" r:id="rId1"/>
    <sheet name="Feries" sheetId="2" state="hidden" r:id="rId2"/>
  </sheets>
  <definedNames>
    <definedName name="_xlnm.Print_Area" localSheetId="0">CRA!$A$1:$E$52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2" i="2" l="1"/>
  <c r="A11" i="2"/>
  <c r="A10" i="2"/>
  <c r="A9" i="2"/>
  <c r="A8" i="2"/>
  <c r="A5" i="2"/>
  <c r="A4" i="2"/>
  <c r="A2" i="2"/>
  <c r="C1" i="2"/>
  <c r="A40" i="1"/>
  <c r="A39" i="1"/>
  <c r="A38" i="1"/>
  <c r="A37" i="1"/>
  <c r="A36" i="1"/>
  <c r="A35" i="1"/>
  <c r="A34" i="1"/>
  <c r="B34" i="1" s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B3" i="1"/>
  <c r="B33" i="1" l="1"/>
  <c r="C33" i="1"/>
  <c r="A3" i="2"/>
  <c r="A7" i="2"/>
  <c r="A6" i="2"/>
  <c r="C40" i="1"/>
  <c r="B40" i="1"/>
  <c r="B39" i="1"/>
  <c r="C39" i="1"/>
  <c r="B38" i="1"/>
  <c r="D38" i="1"/>
  <c r="C37" i="1"/>
  <c r="B37" i="1"/>
  <c r="D37" i="1"/>
  <c r="B36" i="1"/>
  <c r="C36" i="1"/>
  <c r="B35" i="1"/>
  <c r="C35" i="1"/>
  <c r="D32" i="1"/>
  <c r="C32" i="1"/>
  <c r="B32" i="1"/>
  <c r="B31" i="1"/>
  <c r="B30" i="1"/>
  <c r="B29" i="1"/>
  <c r="B28" i="1"/>
  <c r="B27" i="1"/>
  <c r="C26" i="1"/>
  <c r="B26" i="1"/>
  <c r="C25" i="1"/>
  <c r="B25" i="1"/>
  <c r="B24" i="1"/>
  <c r="B23" i="1"/>
  <c r="B22" i="1"/>
  <c r="B21" i="1"/>
  <c r="B20" i="1"/>
  <c r="C19" i="1"/>
  <c r="B19" i="1"/>
  <c r="C18" i="1"/>
  <c r="B18" i="1"/>
  <c r="C17" i="1"/>
  <c r="B17" i="1"/>
  <c r="C16" i="1"/>
  <c r="B16" i="1"/>
  <c r="B15" i="1"/>
  <c r="B14" i="1"/>
  <c r="B13" i="1"/>
  <c r="B12" i="1"/>
  <c r="C12" i="1"/>
  <c r="C11" i="1"/>
  <c r="B11" i="1"/>
  <c r="B10" i="1"/>
  <c r="D40" i="1" l="1"/>
  <c r="D39" i="1"/>
  <c r="C38" i="1"/>
  <c r="D36" i="1"/>
  <c r="D35" i="1"/>
  <c r="C31" i="1"/>
  <c r="D31" i="1"/>
  <c r="C30" i="1"/>
  <c r="D30" i="1"/>
  <c r="D29" i="1"/>
  <c r="C27" i="1"/>
  <c r="D33" i="1"/>
  <c r="C34" i="1"/>
  <c r="D16" i="1"/>
  <c r="C29" i="1"/>
  <c r="C28" i="1"/>
  <c r="D26" i="1"/>
  <c r="D27" i="1"/>
  <c r="D13" i="1"/>
  <c r="C10" i="1"/>
  <c r="D15" i="1"/>
  <c r="D28" i="1"/>
  <c r="C15" i="1"/>
  <c r="C14" i="1"/>
  <c r="D19" i="1"/>
  <c r="D18" i="1"/>
  <c r="D14" i="1"/>
  <c r="C13" i="1"/>
  <c r="D11" i="1"/>
  <c r="D21" i="1"/>
  <c r="D34" i="1"/>
  <c r="D25" i="1"/>
  <c r="C24" i="1"/>
  <c r="D24" i="1"/>
  <c r="C23" i="1"/>
  <c r="D23" i="1"/>
  <c r="D22" i="1"/>
  <c r="C22" i="1"/>
  <c r="C21" i="1"/>
  <c r="D20" i="1"/>
  <c r="C20" i="1"/>
  <c r="D17" i="1"/>
  <c r="D12" i="1"/>
  <c r="D10" i="1"/>
  <c r="E42" i="1" l="1"/>
</calcChain>
</file>

<file path=xl/sharedStrings.xml><?xml version="1.0" encoding="utf-8"?>
<sst xmlns="http://schemas.openxmlformats.org/spreadsheetml/2006/main" count="38" uniqueCount="36">
  <si>
    <t>COMPTE RENDU D'ACTIVITÉ</t>
  </si>
  <si>
    <t>Paramètres</t>
  </si>
  <si>
    <t>Période :</t>
  </si>
  <si>
    <t>Mois</t>
  </si>
  <si>
    <t>Consultant :</t>
  </si>
  <si>
    <t>Année</t>
  </si>
  <si>
    <t>Client :</t>
  </si>
  <si>
    <t>Mission :</t>
  </si>
  <si>
    <t>Référence BDC :</t>
  </si>
  <si>
    <t>Date</t>
  </si>
  <si>
    <t>Jour</t>
  </si>
  <si>
    <t>Type</t>
  </si>
  <si>
    <t>Commentaire</t>
  </si>
  <si>
    <t>Quantité</t>
  </si>
  <si>
    <t>TOTAL JOURS</t>
  </si>
  <si>
    <t>Signature consultant</t>
  </si>
  <si>
    <t>Signature client (cachet + date)</t>
  </si>
  <si>
    <t>Date : ___/___/______</t>
  </si>
  <si>
    <t>Nom</t>
  </si>
  <si>
    <t>Pâques (calcul interne)</t>
  </si>
  <si>
    <t>Jour de l'an</t>
  </si>
  <si>
    <t>Lundi de Pâques</t>
  </si>
  <si>
    <t>Fête du Travail</t>
  </si>
  <si>
    <t>Victoire 1945</t>
  </si>
  <si>
    <t>Ascension</t>
  </si>
  <si>
    <t>Lundi de Pentecôte</t>
  </si>
  <si>
    <t>Fête nationale</t>
  </si>
  <si>
    <t>Assomption</t>
  </si>
  <si>
    <t>Toussaint</t>
  </si>
  <si>
    <t>Armistice</t>
  </si>
  <si>
    <t>Noël</t>
  </si>
  <si>
    <t>Prénom NOM</t>
  </si>
  <si>
    <t>Nom Client</t>
  </si>
  <si>
    <t>Libellé mission</t>
  </si>
  <si>
    <t>Référence</t>
  </si>
  <si>
    <t>Document à imprimer, signer, scanner et retourner par email à pm@ton-client.fr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</si>
</sst>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1"/>
    </font>
    <font>
      <b/>
      <sz val="16"/>
      <color rgb="FF1F4E78"/>
      <name val="Calibri"/>
      <charset val="1"/>
    </font>
    <font>
      <b/>
      <sz val="10"/>
      <name val="Calibri"/>
      <charset val="1"/>
    </font>
    <font>
      <sz val="10"/>
      <name val="Calibri"/>
      <charset val="1"/>
    </font>
    <font>
      <b/>
      <sz val="11"/>
      <color rgb="FFFFFFFF"/>
      <name val="Calibri"/>
      <charset val="1"/>
    </font>
    <font>
      <b/>
      <sz val="11"/>
      <name val="Cambria"/>
      <charset val="1"/>
    </font>
    <font>
      <i/>
      <sz val="9"/>
      <color rgb="FF808080"/>
      <name val="Cambria"/>
      <charset val="1"/>
    </font>
    <font>
      <b/>
      <i/>
      <sz val="11"/>
      <color rgb="FFC2410C"/>
      <name val="Calibri"/>
    </font>
    <font>
      <b/>
      <sz val="11"/>
      <name val="Calibri"/>
    </font>
    <font>
      <b/>
      <sz val="11"/>
      <color rgb="FFFFFFFF"/>
      <name val="Calibri"/>
    </font>
  </fonts>
  <fills count="5">
    <fill>
      <patternFill patternType="none"/>
    </fill>
    <fill>
      <patternFill patternType="gray125"/>
    </fill>
    <fill>
      <patternFill patternType="solid">
        <fgColor rgb="FF1F4E78"/>
        <bgColor rgb="FF003366"/>
      </patternFill>
    </fill>
    <fill>
      <patternFill patternType="solid">
        <fgColor rgb="FFFFF2CC"/>
        <bgColor rgb="FFFFE699"/>
      </patternFill>
    </fill>
    <fill>
      <patternFill patternType="solid">
        <fgColor rgb="FFC2410C"/>
      </patternFill>
    </fill>
  </fills>
  <borders count="5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5" fillId="3" borderId="1" xfId="0" applyFont="1" applyFill="1" applyBorder="1" applyAlignment="1">
      <alignment horizontal="center"/>
    </xf>
    <xf numFmtId="0" fontId="0" fillId="0" borderId="1" xfId="0" applyBorder="1"/>
    <xf numFmtId="0" fontId="7" fillId="0" borderId="0" xfId="0" applyFont="1"/>
    <xf numFmtId="0" fontId="8" fillId="0" borderId="0" xfId="0" applyFont="1"/>
    <xf numFmtId="0" fontId="9" fillId="4" borderId="4" xfId="0" applyFont="1" applyFill="1" applyBorder="1" applyAlignment="1">
      <alignment horizontal="center" vertical="center"/>
    </xf>
    <xf numFmtId="14" fontId="3" fillId="0" borderId="1" xfId="0" applyNumberFormat="1" applyFont="1" applyBorder="1" applyAlignment="1">
      <alignment horizontal="left"/>
    </xf>
    <xf numFmtId="14" fontId="0" fillId="0" borderId="0" xfId="0" applyNumberFormat="1"/>
    <xf numFmtId="0" fontId="5" fillId="3" borderId="1" xfId="0" applyFont="1" applyFill="1" applyBorder="1" applyAlignment="1">
      <alignment horizontal="right"/>
    </xf>
    <xf numFmtId="0" fontId="0" fillId="0" borderId="2" xfId="0" applyBorder="1"/>
    <xf numFmtId="0" fontId="0" fillId="0" borderId="3" xfId="0" applyBorder="1"/>
    <xf numFmtId="0" fontId="1" fillId="0" borderId="0" xfId="0" applyFont="1" applyAlignment="1">
      <alignment horizontal="center" vertical="center"/>
    </xf>
    <xf numFmtId="0" fontId="0" fillId="0" borderId="0" xfId="0"/>
    <xf numFmtId="0" fontId="6" fillId="0" borderId="0" xfId="0" applyFont="1" applyAlignment="1">
      <alignment horizontal="center"/>
    </xf>
  </cellXfs>
  <cellStyles count="1">
    <cellStyle name="Normal" xfId="0" builtinId="0"/>
  </cellStyles>
  <dxfs count="3">
    <dxf>
      <fill>
        <patternFill patternType="solid">
          <fgColor rgb="FFC6EFCE"/>
          <bgColor rgb="FFC6EFCE"/>
        </patternFill>
      </fill>
    </dxf>
    <dxf>
      <fill>
        <patternFill patternType="solid">
          <fgColor rgb="FFFFE699"/>
          <bgColor rgb="FFFFE699"/>
        </patternFill>
      </fill>
    </dxf>
    <dxf>
      <fill>
        <patternFill patternType="solid">
          <fgColor rgb="FFD9D9D9"/>
          <bgColor rgb="FFD9D9D9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6EFCE"/>
      <rgbColor rgb="FFFFE6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1F4E78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2"/>
  <sheetViews>
    <sheetView tabSelected="1" zoomScaleNormal="100" workbookViewId="0">
      <selection sqref="A1:E1"/>
    </sheetView>
  </sheetViews>
  <sheetFormatPr baseColWidth="10" defaultColWidth="8.6328125" defaultRowHeight="14.5" x14ac:dyDescent="0.35"/>
  <cols>
    <col min="1" max="1" width="14" customWidth="1"/>
    <col min="2" max="2" width="16" customWidth="1"/>
    <col min="3" max="3" width="12" customWidth="1"/>
    <col min="4" max="4" width="22" customWidth="1"/>
    <col min="5" max="5" width="14" customWidth="1"/>
    <col min="6" max="6" width="12" customWidth="1"/>
    <col min="7" max="7" width="10" customWidth="1"/>
  </cols>
  <sheetData>
    <row r="1" spans="1:7" ht="17.5" customHeight="1" x14ac:dyDescent="0.35">
      <c r="A1" s="17" t="s">
        <v>0</v>
      </c>
      <c r="B1" s="18"/>
      <c r="C1" s="18"/>
      <c r="D1" s="18"/>
      <c r="E1" s="18"/>
    </row>
    <row r="2" spans="1:7" x14ac:dyDescent="0.35">
      <c r="F2" s="9" t="s">
        <v>1</v>
      </c>
    </row>
    <row r="3" spans="1:7" x14ac:dyDescent="0.35">
      <c r="A3" s="1" t="s">
        <v>2</v>
      </c>
      <c r="B3" s="2" t="str">
        <f>CHOOSE($G$3,"Janvier","Février","Mars","Avril","Mai","Juin","Juillet","Août","Septembre","Octobre","Novembre","Décembre")&amp;" "&amp;$G$4</f>
        <v>Juin 2026</v>
      </c>
      <c r="F3" s="10" t="s">
        <v>3</v>
      </c>
      <c r="G3" s="11">
        <v>6</v>
      </c>
    </row>
    <row r="4" spans="1:7" x14ac:dyDescent="0.35">
      <c r="A4" s="1" t="s">
        <v>4</v>
      </c>
      <c r="B4" s="2" t="s">
        <v>31</v>
      </c>
      <c r="F4" s="10" t="s">
        <v>5</v>
      </c>
      <c r="G4" s="11">
        <v>2026</v>
      </c>
    </row>
    <row r="5" spans="1:7" x14ac:dyDescent="0.35">
      <c r="A5" s="1" t="s">
        <v>6</v>
      </c>
      <c r="B5" s="2" t="s">
        <v>32</v>
      </c>
    </row>
    <row r="6" spans="1:7" x14ac:dyDescent="0.35">
      <c r="A6" s="1" t="s">
        <v>7</v>
      </c>
      <c r="B6" s="2" t="s">
        <v>33</v>
      </c>
    </row>
    <row r="7" spans="1:7" x14ac:dyDescent="0.35">
      <c r="A7" s="1" t="s">
        <v>8</v>
      </c>
      <c r="B7" s="2" t="s">
        <v>34</v>
      </c>
    </row>
    <row r="8" spans="1:7" ht="16" customHeight="1" x14ac:dyDescent="0.35"/>
    <row r="9" spans="1:7" ht="21.75" customHeight="1" x14ac:dyDescent="0.35">
      <c r="A9" s="3" t="s">
        <v>9</v>
      </c>
      <c r="B9" s="3" t="s">
        <v>10</v>
      </c>
      <c r="C9" s="3" t="s">
        <v>11</v>
      </c>
      <c r="D9" s="3" t="s">
        <v>12</v>
      </c>
      <c r="E9" s="3" t="s">
        <v>13</v>
      </c>
    </row>
    <row r="10" spans="1:7" x14ac:dyDescent="0.35">
      <c r="A10" s="12">
        <f>IF(1&gt;DAY(EOMONTH(DATE($G$4,$G$3,1),0)),"",DATE($G$4,$G$3,1))</f>
        <v>46174</v>
      </c>
      <c r="B10" s="4" t="str">
        <f t="shared" ref="B10:B40" si="0">IF(A10="","",CHOOSE(WEEKDAY(A10,2),"Lundi","Mardi","Mercredi","Jeudi","Vendredi","Samedi","Dimanche"))</f>
        <v>Lundi</v>
      </c>
      <c r="C10" s="4" t="str">
        <f>IF(A10="","",IF(WEEKDAY(A10,2)&gt;=6,"Weekend",IF(ISNUMBER(MATCH(A10,Feries!$A$2:$A$12,0)),"Férié","Travaillé")))</f>
        <v>Travaillé</v>
      </c>
      <c r="D10" s="5" t="str">
        <f>IF(A10="","",IFERROR(VLOOKUP(A10,Feries!$A$2:$B$12,2,FALSE),""))</f>
        <v/>
      </c>
      <c r="E10" s="6">
        <v>0</v>
      </c>
    </row>
    <row r="11" spans="1:7" x14ac:dyDescent="0.35">
      <c r="A11" s="12">
        <f>IF(2&gt;DAY(EOMONTH(DATE($G$4,$G$3,1),0)),"",DATE($G$4,$G$3,2))</f>
        <v>46175</v>
      </c>
      <c r="B11" s="4" t="str">
        <f t="shared" si="0"/>
        <v>Mardi</v>
      </c>
      <c r="C11" s="4" t="str">
        <f>IF(A11="","",IF(WEEKDAY(A11,2)&gt;=6,"Weekend",IF(ISNUMBER(MATCH(A11,Feries!$A$2:$A$12,0)),"Férié","Travaillé")))</f>
        <v>Travaillé</v>
      </c>
      <c r="D11" s="5" t="str">
        <f>IF(A11="","",IFERROR(VLOOKUP(A11,Feries!$A$2:$B$12,2,FALSE),""))</f>
        <v/>
      </c>
      <c r="E11" s="6">
        <v>0</v>
      </c>
    </row>
    <row r="12" spans="1:7" x14ac:dyDescent="0.35">
      <c r="A12" s="12">
        <f>IF(3&gt;DAY(EOMONTH(DATE($G$4,$G$3,1),0)),"",DATE($G$4,$G$3,3))</f>
        <v>46176</v>
      </c>
      <c r="B12" s="4" t="str">
        <f t="shared" si="0"/>
        <v>Mercredi</v>
      </c>
      <c r="C12" s="4" t="str">
        <f>IF(A12="","",IF(WEEKDAY(A12,2)&gt;=6,"Weekend",IF(ISNUMBER(MATCH(A12,Feries!$A$2:$A$12,0)),"Férié","Travaillé")))</f>
        <v>Travaillé</v>
      </c>
      <c r="D12" s="5" t="str">
        <f>IF(A12="","",IFERROR(VLOOKUP(A12,Feries!$A$2:$B$12,2,FALSE),""))</f>
        <v/>
      </c>
      <c r="E12" s="6">
        <v>0</v>
      </c>
    </row>
    <row r="13" spans="1:7" x14ac:dyDescent="0.35">
      <c r="A13" s="12">
        <f>IF(4&gt;DAY(EOMONTH(DATE($G$4,$G$3,1),0)),"",DATE($G$4,$G$3,4))</f>
        <v>46177</v>
      </c>
      <c r="B13" s="4" t="str">
        <f t="shared" si="0"/>
        <v>Jeudi</v>
      </c>
      <c r="C13" s="4" t="str">
        <f>IF(A13="","",IF(WEEKDAY(A13,2)&gt;=6,"Weekend",IF(ISNUMBER(MATCH(A13,Feries!$A$2:$A$12,0)),"Férié","Travaillé")))</f>
        <v>Travaillé</v>
      </c>
      <c r="D13" s="5" t="str">
        <f>IF(A13="","",IFERROR(VLOOKUP(A13,Feries!$A$2:$B$12,2,FALSE),""))</f>
        <v/>
      </c>
      <c r="E13" s="6">
        <v>0</v>
      </c>
    </row>
    <row r="14" spans="1:7" x14ac:dyDescent="0.35">
      <c r="A14" s="12">
        <f>IF(5&gt;DAY(EOMONTH(DATE($G$4,$G$3,1),0)),"",DATE($G$4,$G$3,5))</f>
        <v>46178</v>
      </c>
      <c r="B14" s="4" t="str">
        <f t="shared" si="0"/>
        <v>Vendredi</v>
      </c>
      <c r="C14" s="4" t="str">
        <f>IF(A14="","",IF(WEEKDAY(A14,2)&gt;=6,"Weekend",IF(ISNUMBER(MATCH(A14,Feries!$A$2:$A$12,0)),"Férié","Travaillé")))</f>
        <v>Travaillé</v>
      </c>
      <c r="D14" s="5" t="str">
        <f>IF(A14="","",IFERROR(VLOOKUP(A14,Feries!$A$2:$B$12,2,FALSE),""))</f>
        <v/>
      </c>
      <c r="E14" s="6">
        <v>0</v>
      </c>
    </row>
    <row r="15" spans="1:7" x14ac:dyDescent="0.35">
      <c r="A15" s="12">
        <f>IF(6&gt;DAY(EOMONTH(DATE($G$4,$G$3,1),0)),"",DATE($G$4,$G$3,6))</f>
        <v>46179</v>
      </c>
      <c r="B15" s="4" t="str">
        <f t="shared" si="0"/>
        <v>Samedi</v>
      </c>
      <c r="C15" s="4" t="str">
        <f>IF(A15="","",IF(WEEKDAY(A15,2)&gt;=6,"Weekend",IF(ISNUMBER(MATCH(A15,Feries!$A$2:$A$12,0)),"Férié","Travaillé")))</f>
        <v>Weekend</v>
      </c>
      <c r="D15" s="5" t="str">
        <f>IF(A15="","",IFERROR(VLOOKUP(A15,Feries!$A$2:$B$12,2,FALSE),""))</f>
        <v/>
      </c>
      <c r="E15" s="6">
        <v>0</v>
      </c>
    </row>
    <row r="16" spans="1:7" x14ac:dyDescent="0.35">
      <c r="A16" s="12">
        <f>IF(7&gt;DAY(EOMONTH(DATE($G$4,$G$3,1),0)),"",DATE($G$4,$G$3,7))</f>
        <v>46180</v>
      </c>
      <c r="B16" s="4" t="str">
        <f t="shared" si="0"/>
        <v>Dimanche</v>
      </c>
      <c r="C16" s="4" t="str">
        <f>IF(A16="","",IF(WEEKDAY(A16,2)&gt;=6,"Weekend",IF(ISNUMBER(MATCH(A16,Feries!$A$2:$A$12,0)),"Férié","Travaillé")))</f>
        <v>Weekend</v>
      </c>
      <c r="D16" s="5" t="str">
        <f>IF(A16="","",IFERROR(VLOOKUP(A16,Feries!$A$2:$B$12,2,FALSE),""))</f>
        <v/>
      </c>
      <c r="E16" s="6">
        <v>0</v>
      </c>
    </row>
    <row r="17" spans="1:5" x14ac:dyDescent="0.35">
      <c r="A17" s="12">
        <f>IF(8&gt;DAY(EOMONTH(DATE($G$4,$G$3,1),0)),"",DATE($G$4,$G$3,8))</f>
        <v>46181</v>
      </c>
      <c r="B17" s="4" t="str">
        <f t="shared" si="0"/>
        <v>Lundi</v>
      </c>
      <c r="C17" s="4" t="str">
        <f>IF(A17="","",IF(WEEKDAY(A17,2)&gt;=6,"Weekend",IF(ISNUMBER(MATCH(A17,Feries!$A$2:$A$12,0)),"Férié","Travaillé")))</f>
        <v>Travaillé</v>
      </c>
      <c r="D17" s="5" t="str">
        <f>IF(A17="","",IFERROR(VLOOKUP(A17,Feries!$A$2:$B$12,2,FALSE),""))</f>
        <v/>
      </c>
      <c r="E17" s="6">
        <v>0</v>
      </c>
    </row>
    <row r="18" spans="1:5" x14ac:dyDescent="0.35">
      <c r="A18" s="12">
        <f>IF(9&gt;DAY(EOMONTH(DATE($G$4,$G$3,1),0)),"",DATE($G$4,$G$3,9))</f>
        <v>46182</v>
      </c>
      <c r="B18" s="4" t="str">
        <f t="shared" si="0"/>
        <v>Mardi</v>
      </c>
      <c r="C18" s="4" t="str">
        <f>IF(A18="","",IF(WEEKDAY(A18,2)&gt;=6,"Weekend",IF(ISNUMBER(MATCH(A18,Feries!$A$2:$A$12,0)),"Férié","Travaillé")))</f>
        <v>Travaillé</v>
      </c>
      <c r="D18" s="5" t="str">
        <f>IF(A18="","",IFERROR(VLOOKUP(A18,Feries!$A$2:$B$12,2,FALSE),""))</f>
        <v/>
      </c>
      <c r="E18" s="6">
        <v>0</v>
      </c>
    </row>
    <row r="19" spans="1:5" x14ac:dyDescent="0.35">
      <c r="A19" s="12">
        <f>IF(10&gt;DAY(EOMONTH(DATE($G$4,$G$3,1),0)),"",DATE($G$4,$G$3,10))</f>
        <v>46183</v>
      </c>
      <c r="B19" s="4" t="str">
        <f t="shared" si="0"/>
        <v>Mercredi</v>
      </c>
      <c r="C19" s="4" t="str">
        <f>IF(A19="","",IF(WEEKDAY(A19,2)&gt;=6,"Weekend",IF(ISNUMBER(MATCH(A19,Feries!$A$2:$A$12,0)),"Férié","Travaillé")))</f>
        <v>Travaillé</v>
      </c>
      <c r="D19" s="5" t="str">
        <f>IF(A19="","",IFERROR(VLOOKUP(A19,Feries!$A$2:$B$12,2,FALSE),""))</f>
        <v/>
      </c>
      <c r="E19" s="6">
        <v>0</v>
      </c>
    </row>
    <row r="20" spans="1:5" x14ac:dyDescent="0.35">
      <c r="A20" s="12">
        <f>IF(11&gt;DAY(EOMONTH(DATE($G$4,$G$3,1),0)),"",DATE($G$4,$G$3,11))</f>
        <v>46184</v>
      </c>
      <c r="B20" s="4" t="str">
        <f t="shared" si="0"/>
        <v>Jeudi</v>
      </c>
      <c r="C20" s="4" t="str">
        <f>IF(A20="","",IF(WEEKDAY(A20,2)&gt;=6,"Weekend",IF(ISNUMBER(MATCH(A20,Feries!$A$2:$A$12,0)),"Férié","Travaillé")))</f>
        <v>Travaillé</v>
      </c>
      <c r="D20" s="5" t="str">
        <f>IF(A20="","",IFERROR(VLOOKUP(A20,Feries!$A$2:$B$12,2,FALSE),""))</f>
        <v/>
      </c>
      <c r="E20" s="6">
        <v>0</v>
      </c>
    </row>
    <row r="21" spans="1:5" x14ac:dyDescent="0.35">
      <c r="A21" s="12">
        <f>IF(12&gt;DAY(EOMONTH(DATE($G$4,$G$3,1),0)),"",DATE($G$4,$G$3,12))</f>
        <v>46185</v>
      </c>
      <c r="B21" s="4" t="str">
        <f t="shared" si="0"/>
        <v>Vendredi</v>
      </c>
      <c r="C21" s="4" t="str">
        <f>IF(A21="","",IF(WEEKDAY(A21,2)&gt;=6,"Weekend",IF(ISNUMBER(MATCH(A21,Feries!$A$2:$A$12,0)),"Férié","Travaillé")))</f>
        <v>Travaillé</v>
      </c>
      <c r="D21" s="5" t="str">
        <f>IF(A21="","",IFERROR(VLOOKUP(A21,Feries!$A$2:$B$12,2,FALSE),""))</f>
        <v/>
      </c>
      <c r="E21" s="6">
        <v>0</v>
      </c>
    </row>
    <row r="22" spans="1:5" x14ac:dyDescent="0.35">
      <c r="A22" s="12">
        <f>IF(13&gt;DAY(EOMONTH(DATE($G$4,$G$3,1),0)),"",DATE($G$4,$G$3,13))</f>
        <v>46186</v>
      </c>
      <c r="B22" s="4" t="str">
        <f t="shared" si="0"/>
        <v>Samedi</v>
      </c>
      <c r="C22" s="4" t="str">
        <f>IF(A22="","",IF(WEEKDAY(A22,2)&gt;=6,"Weekend",IF(ISNUMBER(MATCH(A22,Feries!$A$2:$A$12,0)),"Férié","Travaillé")))</f>
        <v>Weekend</v>
      </c>
      <c r="D22" s="5" t="str">
        <f>IF(A22="","",IFERROR(VLOOKUP(A22,Feries!$A$2:$B$12,2,FALSE),""))</f>
        <v/>
      </c>
      <c r="E22" s="6">
        <v>0</v>
      </c>
    </row>
    <row r="23" spans="1:5" x14ac:dyDescent="0.35">
      <c r="A23" s="12">
        <f>IF(14&gt;DAY(EOMONTH(DATE($G$4,$G$3,1),0)),"",DATE($G$4,$G$3,14))</f>
        <v>46187</v>
      </c>
      <c r="B23" s="4" t="str">
        <f t="shared" si="0"/>
        <v>Dimanche</v>
      </c>
      <c r="C23" s="4" t="str">
        <f>IF(A23="","",IF(WEEKDAY(A23,2)&gt;=6,"Weekend",IF(ISNUMBER(MATCH(A23,Feries!$A$2:$A$12,0)),"Férié","Travaillé")))</f>
        <v>Weekend</v>
      </c>
      <c r="D23" s="5" t="str">
        <f>IF(A23="","",IFERROR(VLOOKUP(A23,Feries!$A$2:$B$12,2,FALSE),""))</f>
        <v/>
      </c>
      <c r="E23" s="6">
        <v>0</v>
      </c>
    </row>
    <row r="24" spans="1:5" x14ac:dyDescent="0.35">
      <c r="A24" s="12">
        <f>IF(15&gt;DAY(EOMONTH(DATE($G$4,$G$3,1),0)),"",DATE($G$4,$G$3,15))</f>
        <v>46188</v>
      </c>
      <c r="B24" s="4" t="str">
        <f t="shared" si="0"/>
        <v>Lundi</v>
      </c>
      <c r="C24" s="4" t="str">
        <f>IF(A24="","",IF(WEEKDAY(A24,2)&gt;=6,"Weekend",IF(ISNUMBER(MATCH(A24,Feries!$A$2:$A$12,0)),"Férié","Travaillé")))</f>
        <v>Travaillé</v>
      </c>
      <c r="D24" s="5" t="str">
        <f>IF(A24="","",IFERROR(VLOOKUP(A24,Feries!$A$2:$B$12,2,FALSE),""))</f>
        <v/>
      </c>
      <c r="E24" s="6">
        <v>0</v>
      </c>
    </row>
    <row r="25" spans="1:5" x14ac:dyDescent="0.35">
      <c r="A25" s="12">
        <f>IF(16&gt;DAY(EOMONTH(DATE($G$4,$G$3,1),0)),"",DATE($G$4,$G$3,16))</f>
        <v>46189</v>
      </c>
      <c r="B25" s="4" t="str">
        <f t="shared" si="0"/>
        <v>Mardi</v>
      </c>
      <c r="C25" s="4" t="str">
        <f>IF(A25="","",IF(WEEKDAY(A25,2)&gt;=6,"Weekend",IF(ISNUMBER(MATCH(A25,Feries!$A$2:$A$12,0)),"Férié","Travaillé")))</f>
        <v>Travaillé</v>
      </c>
      <c r="D25" s="5" t="str">
        <f>IF(A25="","",IFERROR(VLOOKUP(A25,Feries!$A$2:$B$12,2,FALSE),""))</f>
        <v/>
      </c>
      <c r="E25" s="6">
        <v>0</v>
      </c>
    </row>
    <row r="26" spans="1:5" x14ac:dyDescent="0.35">
      <c r="A26" s="12">
        <f>IF(17&gt;DAY(EOMONTH(DATE($G$4,$G$3,1),0)),"",DATE($G$4,$G$3,17))</f>
        <v>46190</v>
      </c>
      <c r="B26" s="4" t="str">
        <f t="shared" si="0"/>
        <v>Mercredi</v>
      </c>
      <c r="C26" s="4" t="str">
        <f>IF(A26="","",IF(WEEKDAY(A26,2)&gt;=6,"Weekend",IF(ISNUMBER(MATCH(A26,Feries!$A$2:$A$12,0)),"Férié","Travaillé")))</f>
        <v>Travaillé</v>
      </c>
      <c r="D26" s="5" t="str">
        <f>IF(A26="","",IFERROR(VLOOKUP(A26,Feries!$A$2:$B$12,2,FALSE),""))</f>
        <v/>
      </c>
      <c r="E26" s="6">
        <v>0</v>
      </c>
    </row>
    <row r="27" spans="1:5" x14ac:dyDescent="0.35">
      <c r="A27" s="12">
        <f>IF(18&gt;DAY(EOMONTH(DATE($G$4,$G$3,1),0)),"",DATE($G$4,$G$3,18))</f>
        <v>46191</v>
      </c>
      <c r="B27" s="4" t="str">
        <f t="shared" si="0"/>
        <v>Jeudi</v>
      </c>
      <c r="C27" s="4" t="str">
        <f>IF(A27="","",IF(WEEKDAY(A27,2)&gt;=6,"Weekend",IF(ISNUMBER(MATCH(A27,Feries!$A$2:$A$12,0)),"Férié","Travaillé")))</f>
        <v>Travaillé</v>
      </c>
      <c r="D27" s="5" t="str">
        <f>IF(A27="","",IFERROR(VLOOKUP(A27,Feries!$A$2:$B$12,2,FALSE),""))</f>
        <v/>
      </c>
      <c r="E27" s="6">
        <v>0</v>
      </c>
    </row>
    <row r="28" spans="1:5" x14ac:dyDescent="0.35">
      <c r="A28" s="12">
        <f>IF(19&gt;DAY(EOMONTH(DATE($G$4,$G$3,1),0)),"",DATE($G$4,$G$3,19))</f>
        <v>46192</v>
      </c>
      <c r="B28" s="4" t="str">
        <f t="shared" si="0"/>
        <v>Vendredi</v>
      </c>
      <c r="C28" s="4" t="str">
        <f>IF(A28="","",IF(WEEKDAY(A28,2)&gt;=6,"Weekend",IF(ISNUMBER(MATCH(A28,Feries!$A$2:$A$12,0)),"Férié","Travaillé")))</f>
        <v>Travaillé</v>
      </c>
      <c r="D28" s="5" t="str">
        <f>IF(A28="","",IFERROR(VLOOKUP(A28,Feries!$A$2:$B$12,2,FALSE),""))</f>
        <v/>
      </c>
      <c r="E28" s="6">
        <v>0</v>
      </c>
    </row>
    <row r="29" spans="1:5" x14ac:dyDescent="0.35">
      <c r="A29" s="12">
        <f>IF(20&gt;DAY(EOMONTH(DATE($G$4,$G$3,1),0)),"",DATE($G$4,$G$3,20))</f>
        <v>46193</v>
      </c>
      <c r="B29" s="4" t="str">
        <f t="shared" si="0"/>
        <v>Samedi</v>
      </c>
      <c r="C29" s="4" t="str">
        <f>IF(A29="","",IF(WEEKDAY(A29,2)&gt;=6,"Weekend",IF(ISNUMBER(MATCH(A29,Feries!$A$2:$A$12,0)),"Férié","Travaillé")))</f>
        <v>Weekend</v>
      </c>
      <c r="D29" s="5" t="str">
        <f>IF(A29="","",IFERROR(VLOOKUP(A29,Feries!$A$2:$B$12,2,FALSE),""))</f>
        <v/>
      </c>
      <c r="E29" s="6">
        <v>0</v>
      </c>
    </row>
    <row r="30" spans="1:5" x14ac:dyDescent="0.35">
      <c r="A30" s="12">
        <f>IF(21&gt;DAY(EOMONTH(DATE($G$4,$G$3,1),0)),"",DATE($G$4,$G$3,21))</f>
        <v>46194</v>
      </c>
      <c r="B30" s="4" t="str">
        <f t="shared" si="0"/>
        <v>Dimanche</v>
      </c>
      <c r="C30" s="4" t="str">
        <f>IF(A30="","",IF(WEEKDAY(A30,2)&gt;=6,"Weekend",IF(ISNUMBER(MATCH(A30,Feries!$A$2:$A$12,0)),"Férié","Travaillé")))</f>
        <v>Weekend</v>
      </c>
      <c r="D30" s="5" t="str">
        <f>IF(A30="","",IFERROR(VLOOKUP(A30,Feries!$A$2:$B$12,2,FALSE),""))</f>
        <v/>
      </c>
      <c r="E30" s="6">
        <v>0</v>
      </c>
    </row>
    <row r="31" spans="1:5" x14ac:dyDescent="0.35">
      <c r="A31" s="12">
        <f>IF(22&gt;DAY(EOMONTH(DATE($G$4,$G$3,1),0)),"",DATE($G$4,$G$3,22))</f>
        <v>46195</v>
      </c>
      <c r="B31" s="4" t="str">
        <f t="shared" si="0"/>
        <v>Lundi</v>
      </c>
      <c r="C31" s="4" t="str">
        <f>IF(A31="","",IF(WEEKDAY(A31,2)&gt;=6,"Weekend",IF(ISNUMBER(MATCH(A31,Feries!$A$2:$A$12,0)),"Férié","Travaillé")))</f>
        <v>Travaillé</v>
      </c>
      <c r="D31" s="5" t="str">
        <f>IF(A31="","",IFERROR(VLOOKUP(A31,Feries!$A$2:$B$12,2,FALSE),""))</f>
        <v/>
      </c>
      <c r="E31" s="6">
        <v>0</v>
      </c>
    </row>
    <row r="32" spans="1:5" x14ac:dyDescent="0.35">
      <c r="A32" s="12">
        <f>IF(23&gt;DAY(EOMONTH(DATE($G$4,$G$3,1),0)),"",DATE($G$4,$G$3,23))</f>
        <v>46196</v>
      </c>
      <c r="B32" s="4" t="str">
        <f t="shared" si="0"/>
        <v>Mardi</v>
      </c>
      <c r="C32" s="4" t="str">
        <f>IF(A32="","",IF(WEEKDAY(A32,2)&gt;=6,"Weekend",IF(ISNUMBER(MATCH(A32,Feries!$A$2:$A$12,0)),"Férié","Travaillé")))</f>
        <v>Travaillé</v>
      </c>
      <c r="D32" s="5" t="str">
        <f>IF(A32="","",IFERROR(VLOOKUP(A32,Feries!$A$2:$B$12,2,FALSE),""))</f>
        <v/>
      </c>
      <c r="E32" s="6">
        <v>0</v>
      </c>
    </row>
    <row r="33" spans="1:5" x14ac:dyDescent="0.35">
      <c r="A33" s="12">
        <f>IF(24&gt;DAY(EOMONTH(DATE($G$4,$G$3,1),0)),"",DATE($G$4,$G$3,24))</f>
        <v>46197</v>
      </c>
      <c r="B33" s="4" t="str">
        <f t="shared" si="0"/>
        <v>Mercredi</v>
      </c>
      <c r="C33" s="4" t="str">
        <f>IF(A33="","",IF(WEEKDAY(A33,2)&gt;=6,"Weekend",IF(ISNUMBER(MATCH(A33,Feries!$A$2:$A$12,0)),"Férié","Travaillé")))</f>
        <v>Travaillé</v>
      </c>
      <c r="D33" s="5" t="str">
        <f>IF(A33="","",IFERROR(VLOOKUP(A33,Feries!$A$2:$B$12,2,FALSE),""))</f>
        <v/>
      </c>
      <c r="E33" s="6">
        <v>0</v>
      </c>
    </row>
    <row r="34" spans="1:5" x14ac:dyDescent="0.35">
      <c r="A34" s="12">
        <f>IF(25&gt;DAY(EOMONTH(DATE($G$4,$G$3,1),0)),"",DATE($G$4,$G$3,25))</f>
        <v>46198</v>
      </c>
      <c r="B34" s="4" t="str">
        <f t="shared" si="0"/>
        <v>Jeudi</v>
      </c>
      <c r="C34" s="4" t="str">
        <f>IF(A34="","",IF(WEEKDAY(A34,2)&gt;=6,"Weekend",IF(ISNUMBER(MATCH(A34,Feries!$A$2:$A$12,0)),"Férié","Travaillé")))</f>
        <v>Travaillé</v>
      </c>
      <c r="D34" s="5" t="str">
        <f>IF(A34="","",IFERROR(VLOOKUP(A34,Feries!$A$2:$B$12,2,FALSE),""))</f>
        <v/>
      </c>
      <c r="E34" s="6">
        <v>0</v>
      </c>
    </row>
    <row r="35" spans="1:5" x14ac:dyDescent="0.35">
      <c r="A35" s="12">
        <f>IF(26&gt;DAY(EOMONTH(DATE($G$4,$G$3,1),0)),"",DATE($G$4,$G$3,26))</f>
        <v>46199</v>
      </c>
      <c r="B35" s="4" t="str">
        <f t="shared" si="0"/>
        <v>Vendredi</v>
      </c>
      <c r="C35" s="4" t="str">
        <f>IF(A35="","",IF(WEEKDAY(A35,2)&gt;=6,"Weekend",IF(ISNUMBER(MATCH(A35,Feries!$A$2:$A$12,0)),"Férié","Travaillé")))</f>
        <v>Travaillé</v>
      </c>
      <c r="D35" s="5" t="str">
        <f>IF(A35="","",IFERROR(VLOOKUP(A35,Feries!$A$2:$B$12,2,FALSE),""))</f>
        <v/>
      </c>
      <c r="E35" s="6">
        <v>0</v>
      </c>
    </row>
    <row r="36" spans="1:5" x14ac:dyDescent="0.35">
      <c r="A36" s="12">
        <f>IF(27&gt;DAY(EOMONTH(DATE($G$4,$G$3,1),0)),"",DATE($G$4,$G$3,27))</f>
        <v>46200</v>
      </c>
      <c r="B36" s="4" t="str">
        <f t="shared" si="0"/>
        <v>Samedi</v>
      </c>
      <c r="C36" s="4" t="str">
        <f>IF(A36="","",IF(WEEKDAY(A36,2)&gt;=6,"Weekend",IF(ISNUMBER(MATCH(A36,Feries!$A$2:$A$12,0)),"Férié","Travaillé")))</f>
        <v>Weekend</v>
      </c>
      <c r="D36" s="5" t="str">
        <f>IF(A36="","",IFERROR(VLOOKUP(A36,Feries!$A$2:$B$12,2,FALSE),""))</f>
        <v/>
      </c>
      <c r="E36" s="6">
        <v>0</v>
      </c>
    </row>
    <row r="37" spans="1:5" x14ac:dyDescent="0.35">
      <c r="A37" s="12">
        <f>IF(28&gt;DAY(EOMONTH(DATE($G$4,$G$3,1),0)),"",DATE($G$4,$G$3,28))</f>
        <v>46201</v>
      </c>
      <c r="B37" s="4" t="str">
        <f t="shared" si="0"/>
        <v>Dimanche</v>
      </c>
      <c r="C37" s="4" t="str">
        <f>IF(A37="","",IF(WEEKDAY(A37,2)&gt;=6,"Weekend",IF(ISNUMBER(MATCH(A37,Feries!$A$2:$A$12,0)),"Férié","Travaillé")))</f>
        <v>Weekend</v>
      </c>
      <c r="D37" s="5" t="str">
        <f>IF(A37="","",IFERROR(VLOOKUP(A37,Feries!$A$2:$B$12,2,FALSE),""))</f>
        <v/>
      </c>
      <c r="E37" s="6">
        <v>0</v>
      </c>
    </row>
    <row r="38" spans="1:5" x14ac:dyDescent="0.35">
      <c r="A38" s="12">
        <f>IF(29&gt;DAY(EOMONTH(DATE($G$4,$G$3,1),0)),"",DATE($G$4,$G$3,29))</f>
        <v>46202</v>
      </c>
      <c r="B38" s="4" t="str">
        <f t="shared" si="0"/>
        <v>Lundi</v>
      </c>
      <c r="C38" s="4" t="str">
        <f>IF(A38="","",IF(WEEKDAY(A38,2)&gt;=6,"Weekend",IF(ISNUMBER(MATCH(A38,Feries!$A$2:$A$12,0)),"Férié","Travaillé")))</f>
        <v>Travaillé</v>
      </c>
      <c r="D38" s="5" t="str">
        <f>IF(A38="","",IFERROR(VLOOKUP(A38,Feries!$A$2:$B$12,2,FALSE),""))</f>
        <v/>
      </c>
      <c r="E38" s="6">
        <v>0</v>
      </c>
    </row>
    <row r="39" spans="1:5" x14ac:dyDescent="0.35">
      <c r="A39" s="12">
        <f>IF(30&gt;DAY(EOMONTH(DATE($G$4,$G$3,1),0)),"",DATE($G$4,$G$3,30))</f>
        <v>46203</v>
      </c>
      <c r="B39" s="4" t="str">
        <f t="shared" si="0"/>
        <v>Mardi</v>
      </c>
      <c r="C39" s="4" t="str">
        <f>IF(A39="","",IF(WEEKDAY(A39,2)&gt;=6,"Weekend",IF(ISNUMBER(MATCH(A39,Feries!$A$2:$A$12,0)),"Férié","Travaillé")))</f>
        <v>Travaillé</v>
      </c>
      <c r="D39" s="5" t="str">
        <f>IF(A39="","",IFERROR(VLOOKUP(A39,Feries!$A$2:$B$12,2,FALSE),""))</f>
        <v/>
      </c>
      <c r="E39" s="6">
        <v>0</v>
      </c>
    </row>
    <row r="40" spans="1:5" x14ac:dyDescent="0.35">
      <c r="A40" s="12" t="str">
        <f>IF(31&gt;DAY(EOMONTH(DATE($G$4,$G$3,1),0)),"",DATE($G$4,$G$3,31))</f>
        <v/>
      </c>
      <c r="B40" s="4" t="str">
        <f t="shared" si="0"/>
        <v/>
      </c>
      <c r="C40" s="4" t="str">
        <f>IF(A40="","",IF(WEEKDAY(A40,2)&gt;=6,"Weekend",IF(ISNUMBER(MATCH(A40,Feries!$A$2:$A$12,0)),"Férié","Travaillé")))</f>
        <v/>
      </c>
      <c r="D40" s="5" t="str">
        <f>IF(A40="","",IFERROR(VLOOKUP(A40,Feries!$A$2:$B$12,2,FALSE),""))</f>
        <v/>
      </c>
      <c r="E40" s="6">
        <v>0</v>
      </c>
    </row>
    <row r="42" spans="1:5" x14ac:dyDescent="0.35">
      <c r="A42" s="14" t="s">
        <v>14</v>
      </c>
      <c r="B42" s="15"/>
      <c r="C42" s="15"/>
      <c r="D42" s="16"/>
      <c r="E42" s="7">
        <f>SUM(E10:E40)</f>
        <v>0</v>
      </c>
    </row>
    <row r="43" spans="1:5" ht="4.5" customHeight="1" x14ac:dyDescent="0.35"/>
    <row r="44" spans="1:5" ht="1.5" customHeight="1" x14ac:dyDescent="0.35"/>
    <row r="45" spans="1:5" x14ac:dyDescent="0.35">
      <c r="A45" s="1" t="s">
        <v>15</v>
      </c>
      <c r="D45" s="1" t="s">
        <v>16</v>
      </c>
    </row>
    <row r="46" spans="1:5" x14ac:dyDescent="0.35">
      <c r="A46" s="8"/>
      <c r="B46" s="8"/>
      <c r="D46" s="8"/>
      <c r="E46" s="8"/>
    </row>
    <row r="47" spans="1:5" x14ac:dyDescent="0.35">
      <c r="A47" s="8"/>
      <c r="B47" s="8"/>
      <c r="D47" s="8"/>
      <c r="E47" s="8"/>
    </row>
    <row r="48" spans="1:5" x14ac:dyDescent="0.35">
      <c r="A48" s="8"/>
      <c r="B48" s="8"/>
      <c r="D48" s="8"/>
      <c r="E48" s="8"/>
    </row>
    <row r="49" spans="1:5" x14ac:dyDescent="0.35">
      <c r="A49" s="8"/>
      <c r="B49" s="8"/>
      <c r="D49" s="8"/>
      <c r="E49" s="8"/>
    </row>
    <row r="50" spans="1:5" x14ac:dyDescent="0.35">
      <c r="A50" s="2" t="s">
        <v>17</v>
      </c>
      <c r="D50" s="2" t="s">
        <v>17</v>
      </c>
    </row>
    <row r="52" spans="1:5" x14ac:dyDescent="0.35">
      <c r="A52" s="19" t="s">
        <v>35</v>
      </c>
      <c r="B52" s="18"/>
      <c r="C52" s="18"/>
      <c r="D52" s="18"/>
      <c r="E52" s="18"/>
    </row>
  </sheetData>
  <mergeCells count="3">
    <mergeCell ref="A42:D42"/>
    <mergeCell ref="A1:E1"/>
    <mergeCell ref="A52:E52"/>
  </mergeCells>
  <conditionalFormatting sqref="A10:E40">
    <cfRule type="expression" dxfId="2" priority="1">
      <formula>LEFT($C10,1)="W"</formula>
    </cfRule>
    <cfRule type="expression" dxfId="1" priority="2">
      <formula>LEFT($C10,1)="F"</formula>
    </cfRule>
    <cfRule type="expression" dxfId="0" priority="3">
      <formula>OR(LEFT($C10,1)="T",LEFT($C10,1)="D")</formula>
    </cfRule>
  </conditionalFormatting>
  <dataValidations count="2">
    <dataValidation type="list" showErrorMessage="1" errorTitle="Mois invalide" error="Choisis un mois entre 1 et 12." sqref="G3" xr:uid="{00000000-0002-0000-0000-000000000000}">
      <formula1>"1,2,3,4,5,6,7,8,9,10,11,12"</formula1>
    </dataValidation>
    <dataValidation type="list" showErrorMessage="1" errorTitle="Année invalide" error="Choisis une année dans la liste." sqref="G4" xr:uid="{00000000-0002-0000-0000-000001000000}">
      <formula1>"2024,2025,2026,2027,2028,2029,2030,2031,2032"</formula1>
    </dataValidation>
  </dataValidations>
  <pageMargins left="0.75" right="0.75" top="1" bottom="1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2"/>
  <sheetViews>
    <sheetView workbookViewId="0"/>
  </sheetViews>
  <sheetFormatPr baseColWidth="10" defaultColWidth="8.7265625" defaultRowHeight="14.5" x14ac:dyDescent="0.35"/>
  <sheetData>
    <row r="1" spans="1:4" x14ac:dyDescent="0.35">
      <c r="A1" s="10" t="s">
        <v>9</v>
      </c>
      <c r="B1" s="10" t="s">
        <v>18</v>
      </c>
      <c r="C1" s="13">
        <f>FLOOR(("4/"&amp;CRA!$G$4)/7+MOD(19*MOD(CRA!$G$4,19)-7,30)*14%,7)-6</f>
        <v>6581</v>
      </c>
      <c r="D1" t="s">
        <v>19</v>
      </c>
    </row>
    <row r="2" spans="1:4" x14ac:dyDescent="0.35">
      <c r="A2" s="13">
        <f>DATE(CRA!$G$4,1,1)</f>
        <v>46023</v>
      </c>
      <c r="B2" t="s">
        <v>20</v>
      </c>
    </row>
    <row r="3" spans="1:4" x14ac:dyDescent="0.35">
      <c r="A3" s="13">
        <f>$C$1+1</f>
        <v>6582</v>
      </c>
      <c r="B3" t="s">
        <v>21</v>
      </c>
    </row>
    <row r="4" spans="1:4" x14ac:dyDescent="0.35">
      <c r="A4" s="13">
        <f>DATE(CRA!$G$4,5,1)</f>
        <v>46143</v>
      </c>
      <c r="B4" t="s">
        <v>22</v>
      </c>
    </row>
    <row r="5" spans="1:4" x14ac:dyDescent="0.35">
      <c r="A5" s="13">
        <f>DATE(CRA!$G$4,5,8)</f>
        <v>46150</v>
      </c>
      <c r="B5" t="s">
        <v>23</v>
      </c>
    </row>
    <row r="6" spans="1:4" x14ac:dyDescent="0.35">
      <c r="A6" s="13">
        <f>$C$1+39</f>
        <v>6620</v>
      </c>
      <c r="B6" t="s">
        <v>24</v>
      </c>
    </row>
    <row r="7" spans="1:4" x14ac:dyDescent="0.35">
      <c r="A7" s="13">
        <f>$C$1+50</f>
        <v>6631</v>
      </c>
      <c r="B7" t="s">
        <v>25</v>
      </c>
    </row>
    <row r="8" spans="1:4" x14ac:dyDescent="0.35">
      <c r="A8" s="13">
        <f>DATE(CRA!$G$4,7,14)</f>
        <v>46217</v>
      </c>
      <c r="B8" t="s">
        <v>26</v>
      </c>
    </row>
    <row r="9" spans="1:4" x14ac:dyDescent="0.35">
      <c r="A9" s="13">
        <f>DATE(CRA!$G$4,8,15)</f>
        <v>46249</v>
      </c>
      <c r="B9" t="s">
        <v>27</v>
      </c>
    </row>
    <row r="10" spans="1:4" x14ac:dyDescent="0.35">
      <c r="A10" s="13">
        <f>DATE(CRA!$G$4,11,1)</f>
        <v>46327</v>
      </c>
      <c r="B10" t="s">
        <v>28</v>
      </c>
    </row>
    <row r="11" spans="1:4" x14ac:dyDescent="0.35">
      <c r="A11" s="13">
        <f>DATE(CRA!$G$4,11,11)</f>
        <v>46337</v>
      </c>
      <c r="B11" t="s">
        <v>29</v>
      </c>
    </row>
    <row r="12" spans="1:4" x14ac:dyDescent="0.35">
      <c r="A12" s="13">
        <f>DATE(CRA!$G$4,12,25)</f>
        <v>46381</v>
      </c>
      <c r="B12" t="s">
        <v>30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CRA</vt:lpstr>
      <vt:lpstr>Feries</vt:lpstr>
      <vt:lpstr>CRA!Zone_d_impression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Jean-Marc Villatte</cp:lastModifiedBy>
  <cp:revision>0</cp:revision>
  <dcterms:created xsi:type="dcterms:W3CDTF">2026-05-06T16:04:20Z</dcterms:created>
  <dcterms:modified xsi:type="dcterms:W3CDTF">2026-05-24T14:07:19Z</dcterms:modified>
  <dc:language>en-US</dc:language>
</cp:coreProperties>
</file>